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790" windowHeight="3540" activeTab="0"/>
  </bookViews>
  <sheets>
    <sheet name="myDAIRY" sheetId="1" r:id="rId1"/>
    <sheet name="example" sheetId="2" r:id="rId2"/>
  </sheets>
  <definedNames>
    <definedName name="\P">'myDAIRY'!$Y$1:$Y$2</definedName>
    <definedName name="_xlnm.Print_Area" localSheetId="0">'myDAIRY'!$A$1:$J$85</definedName>
    <definedName name="PRINT_AREA_MI">'myDAIRY'!$A$1:$H$5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<sst xmlns="http://schemas.openxmlformats.org/spreadsheetml/2006/main" count="143" uniqueCount="105">
  <si>
    <t xml:space="preserve">      CATTLE WASHING BASED UPON METHOD OF WASHING --------------------------------------------------------------------</t>
  </si>
  <si>
    <t xml:space="preserve">      PLATE COOLER ------------------------------------------------------------------------------------------------------------------------</t>
  </si>
  <si>
    <t xml:space="preserve">      CORRAL MISTERS ---------------------------------------------------------------------------------------------------------------------</t>
  </si>
  <si>
    <t xml:space="preserve">      MISCELLANEOUS USES ---------------------------------------------------------------------------------------------------------------</t>
  </si>
  <si>
    <t xml:space="preserve">   STOCKWATER -----------------------------------------------------------------------------   </t>
  </si>
  <si>
    <t xml:space="preserve">   COMMERCIAL -----------------------------------------------------------------------------</t>
  </si>
  <si>
    <t xml:space="preserve">   TOTAL DIVERSION VOLUME -------------------------------------------------------------</t>
  </si>
  <si>
    <t xml:space="preserve">   TOTAL CONSUMPTIVE USE --------------------------------------------------------------</t>
  </si>
  <si>
    <t xml:space="preserve">   DIVERSION RATE  --------------------------------------------------------------------------------------------------</t>
  </si>
  <si>
    <t xml:space="preserve">   ACRES OF IRRIGATION -------------------------------------------------------------------------------------------</t>
  </si>
  <si>
    <t xml:space="preserve">   DIVERSION VOLUME ----------------------------------------------------------------------------------------------</t>
  </si>
  <si>
    <t xml:space="preserve">   CONSUMPTIVE USE VOLUME -----------------------------------------------------------------------------------</t>
  </si>
  <si>
    <t xml:space="preserve">   BOTH (B)? ------------------------------------------------------------------------------------------------------------</t>
  </si>
  <si>
    <t xml:space="preserve">   IRRIGATION DIVERSION RATE  PER ACRE ------------------------------------------------------------------</t>
  </si>
  <si>
    <t xml:space="preserve">   REDUCTION OF IRRIGATION BASED ON DIVERSION RATE ---------------------------------------------</t>
  </si>
  <si>
    <t xml:space="preserve">   REDUCTION OF IRRIGATION BASED ON DIVERSION VOLUME -----------------------------------------</t>
  </si>
  <si>
    <t xml:space="preserve">   REDUCTION OF IRRIGATION BASED ON CONSUMPTIVE USE ------------------------------------------</t>
  </si>
  <si>
    <t>/PPOADN1Q</t>
  </si>
  <si>
    <t xml:space="preserve"> </t>
  </si>
  <si>
    <t>QAGPQ</t>
  </si>
  <si>
    <t xml:space="preserve"> PUMP 1</t>
  </si>
  <si>
    <t xml:space="preserve"> PUMP 2</t>
  </si>
  <si>
    <t xml:space="preserve"> PUMP 3</t>
  </si>
  <si>
    <t xml:space="preserve"> PUMP 4</t>
  </si>
  <si>
    <t xml:space="preserve"> PUMP 5</t>
  </si>
  <si>
    <t xml:space="preserve">          </t>
  </si>
  <si>
    <t>DIVERSION VOLUME (AFA):</t>
  </si>
  <si>
    <t xml:space="preserve">   STOCKWATER</t>
  </si>
  <si>
    <t xml:space="preserve">   COMMERCIAL</t>
  </si>
  <si>
    <t>ACRES</t>
  </si>
  <si>
    <t>CFS/AC</t>
  </si>
  <si>
    <t>CFS</t>
  </si>
  <si>
    <t>MSP</t>
  </si>
  <si>
    <t>CONSUMPTIVE USE VOLUME (AFA)(assuming 100% consumptive):</t>
  </si>
  <si>
    <t xml:space="preserve">FILE NUMBER   ----------------------    </t>
  </si>
  <si>
    <t xml:space="preserve">REVIEWER  ---------------------------     </t>
  </si>
  <si>
    <t>DAIRIES:  WATER USE WORKSHEET</t>
  </si>
  <si>
    <t>REQUIRED DAIRY DATA</t>
  </si>
  <si>
    <t>CALCULATIONS</t>
  </si>
  <si>
    <t>THEORETICAL FLOW ESTIMATION WORKSHEET</t>
  </si>
  <si>
    <t>REQUIRED PUMP INFORMATION</t>
  </si>
  <si>
    <t>AC-FT/AC</t>
  </si>
  <si>
    <t>IRRIGATION  RIGHT   (BEFORE CHANGE)</t>
  </si>
  <si>
    <t>N</t>
  </si>
  <si>
    <t>DIVERSION RATE (CFS):</t>
  </si>
  <si>
    <t xml:space="preserve">** DIVERSION VOLUME IS THE ABSOLUTE MAXIMUM VOLUME BASED ON THE </t>
  </si>
  <si>
    <t>THEORETICAL FLOW RATE ASSUMING PUMP RUNS EVERY DAY OF THE YEAR.</t>
  </si>
  <si>
    <t>EVALUATION OF EQUIVALENT IRRIGATED ACREAGE</t>
  </si>
  <si>
    <t>B</t>
  </si>
  <si>
    <t xml:space="preserve">   IRRIGATION IS BEING CONVERTED FOR WHICH PORTION OF THE</t>
  </si>
  <si>
    <t xml:space="preserve">   DAIRY OPERATION - STOCKWATER (S), COMMERCIAL (C), OR</t>
  </si>
  <si>
    <t>Y</t>
  </si>
  <si>
    <t xml:space="preserve">ENTER 1 FOR MANUAL COW WASHING, 2 FOR AUTOMATIC COW WASHING, </t>
  </si>
  <si>
    <t>IF USING CORRAL MISTERS:  NUMBER OF MISTERS (IF UNKNOWN,</t>
  </si>
  <si>
    <t xml:space="preserve">IS PLATE COOLER WATER LATER RECYCLED FOR OTHER USES? (IF NO PLATE </t>
  </si>
  <si>
    <t xml:space="preserve">ENTER A TOTAL VOLUME IN GPD FOR MISCELLANEOUS WATER USES NOT </t>
  </si>
  <si>
    <t>* IF PUMP EFFICIENCY IS UNKNOWN, 70% MAY BE ASSUMED.</t>
  </si>
  <si>
    <t xml:space="preserve">NUMBER OF MILKING CATTLE -------------------------------------------------------------------------------------------------------         </t>
  </si>
  <si>
    <t>NUMBER OF DRY CATTLE -------------------------------------------------------------------------------------------------------------</t>
  </si>
  <si>
    <t xml:space="preserve">      MILKING CATTLE ----------------------------------------------------------------------------------------------------------------------</t>
  </si>
  <si>
    <t xml:space="preserve">      DRY CATTLE ----------------------------------------------------------------------------------------------------------------------------</t>
  </si>
  <si>
    <t>NUMBER OF REPLACEMENT CATTLE:  0-2 MONTHS --------------------------------------------------------------------------</t>
  </si>
  <si>
    <t xml:space="preserve">                                                              3-4 MONTHS ------------------------------------------------------------------------------------------------</t>
  </si>
  <si>
    <t xml:space="preserve">                                                              5-8 MONTHS ------------------------------------------------------------------------------------------------</t>
  </si>
  <si>
    <t xml:space="preserve">                                                              9-12 MONTHS ----------------------------------------------------------------------------------------------</t>
  </si>
  <si>
    <t xml:space="preserve">                                                              13-15 MONTHS ---------------------------------------------------------------------------------------------</t>
  </si>
  <si>
    <t xml:space="preserve">                                                              16-24 MONTHS ---------------------------------------------------------------------------------------------</t>
  </si>
  <si>
    <t>OR 3 IF SPRINKLERS ARE USED TO FLUSH HOLDING PEN AND WASH COWS ---------------------------------------------</t>
  </si>
  <si>
    <t>IF SPRINKLERS ARE USED:  NUMBER OF SPRINKLERS IN HOLDING PEN -------------------------------------------------</t>
  </si>
  <si>
    <t xml:space="preserve">                                             NOZZLE DISCHARGE (USE 5.0 GPM IF UNKNOWN) --------------------------------------------------------</t>
  </si>
  <si>
    <t xml:space="preserve">                                            TOTAL OPERATION TIME OF SPRINKLERS (MIN/DAY) -------------------------------------------------</t>
  </si>
  <si>
    <t>NUMBER OF MILKINGS PER DAY ----------------------------------------------------------------------------------------------------</t>
  </si>
  <si>
    <t xml:space="preserve">AVG. LBS. OF MILK PRODUCED PER DAY PER ANIMAL (IDAHO AVG IS 70 LBS.) ---------------------------------------- </t>
  </si>
  <si>
    <t>ARE THERE SEPARATE PUMPS FOR COMMERCIAL AND STOCKWATER USES? --------------------------------------</t>
  </si>
  <si>
    <t>IF SO:  HOW MANY HOURS PER DAY DOES THE STOCKWATER PUMP RUN? --------------------------------------------</t>
  </si>
  <si>
    <r>
      <t xml:space="preserve">     </t>
    </r>
    <r>
      <rPr>
        <sz val="8"/>
        <rFont val="Arial"/>
        <family val="2"/>
      </rPr>
      <t>HOW MANY HOURS PER DAY DOES THE COMMERCIAL PUMP RUN? ------------------------------------------------</t>
    </r>
  </si>
  <si>
    <t>IF ONLY ONE PUMP, HOW MANY TOTAL HOURS PER DAY DOES IT RUN? ------------------------------------------------</t>
  </si>
  <si>
    <t>IS A PLATE COOLER USED? -----------------------------------------------------------------------------------------------------------</t>
  </si>
  <si>
    <t>COOLER, LEAVE BLANK) --------------------------------------------------------------------------------------------------------------</t>
  </si>
  <si>
    <t>ARE CORRAL MISTERS USED IN HOLDING PEN? --------------------------------------------------------------------------------</t>
  </si>
  <si>
    <t xml:space="preserve">                                                ASSUME 1 MISTER FOR EVERY 5 COWS) -------------------------------------------------------------------</t>
  </si>
  <si>
    <r>
      <t xml:space="preserve">                                                NOZZLE DISCHARGE (USE 5 </t>
    </r>
    <r>
      <rPr>
        <b/>
        <sz val="8"/>
        <rFont val="Arial"/>
        <family val="2"/>
      </rPr>
      <t>GPH</t>
    </r>
    <r>
      <rPr>
        <sz val="8"/>
        <rFont val="Arial"/>
        <family val="2"/>
      </rPr>
      <t xml:space="preserve"> IF UNKNOWN) --------------------------------------------------------</t>
    </r>
  </si>
  <si>
    <t xml:space="preserve">                                                SPRAY INTERVAL (EX - 2 MIN ON EVERY 5 MIN = 2/5) --------------------------------------------------</t>
  </si>
  <si>
    <t xml:space="preserve">                                                OPERATION TIME OF MISTERS (HRS/DAY) --------------------------------------------------------------- </t>
  </si>
  <si>
    <t xml:space="preserve">                                                DAYS PER YEAR MISTERS ARE USED -----------------------------------------------------------------------</t>
  </si>
  <si>
    <t>PUMP HORSEPOWER (HP) ---------------------------------</t>
  </si>
  <si>
    <t>PUMP EFFICIENCY (%) --------------------------------------</t>
  </si>
  <si>
    <t>HOURS PER DAY PUMP OPERATES ---------------------</t>
  </si>
  <si>
    <t>LIFT (FT) ---------------------------------------------------------</t>
  </si>
  <si>
    <t>DISCHARGE PRESSURE (PSI) ------------------------------</t>
  </si>
  <si>
    <t>FRICTION LOSSES (FT) ---------------------------------------</t>
  </si>
  <si>
    <t>THEORETICAL FLOW RATE (CFS) * -----------------------</t>
  </si>
  <si>
    <t>DIVERSION VOLUME (AFA) ** ------------------------------</t>
  </si>
  <si>
    <t xml:space="preserve">INDIVIDUALLY CALCULATED BELOW (EX. - RESTROOMS, WASHING MACHINES) -------------------------------------- </t>
  </si>
  <si>
    <t xml:space="preserve">      MILKING CATTLE (BASED ON MILK PRODUCTION) --------------------------------------------------------------------------</t>
  </si>
  <si>
    <t xml:space="preserve">      DRY CATTLE @17.0 GPD/HD -------------------------------------------------------------------------------------------------------</t>
  </si>
  <si>
    <t xml:space="preserve">      REPLACEMENT CATTLE ------------------------------------------------------------------------------------------------------------</t>
  </si>
  <si>
    <t xml:space="preserve">      TOTAL ------------------------------------------------------------------------------------</t>
  </si>
  <si>
    <t xml:space="preserve">   TOTAL DIVERSION RATE -----------------------------------------------------------------</t>
  </si>
  <si>
    <t xml:space="preserve">      WASHING OF BULK TANK AND RELATED EQUIPMENT ----------------------------------------------------------------------</t>
  </si>
  <si>
    <t xml:space="preserve">      BACKFLUSH -----------------------------------------------------------------------------------------------------------------------------</t>
  </si>
  <si>
    <t xml:space="preserve">      PARLOR/MILKHOUSE/HOLDING PEN CLEANUP ------------------------------------------------------------------------------</t>
  </si>
  <si>
    <t>DATE -----------------------------------</t>
  </si>
  <si>
    <t xml:space="preserve">      REPLACEMENT CATTLE -----------------------------------------------------------------------------------------------------------</t>
  </si>
  <si>
    <t>36-00000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</si>
</sst>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0000"/>
    <numFmt numFmtId="169" formatCode="0.000"/>
    <numFmt numFmtId="170" formatCode="mmmm\ d\,\ yyyy"/>
  </numFmts>
  <fonts count="6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8"/>
      <name val="Courie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164" fontId="3" fillId="0" borderId="0" xfId="0" applyFont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Alignment="1">
      <alignment horizontal="center"/>
    </xf>
    <xf numFmtId="164" fontId="2" fillId="0" borderId="0" xfId="0" applyNumberFormat="1" applyFont="1" applyFill="1" applyAlignment="1" applyProtection="1">
      <alignment/>
      <protection/>
    </xf>
    <xf numFmtId="164" fontId="5" fillId="0" borderId="0" xfId="0" applyFont="1" applyAlignment="1">
      <alignment/>
    </xf>
    <xf numFmtId="166" fontId="5" fillId="0" borderId="0" xfId="0" applyNumberFormat="1" applyFont="1" applyAlignment="1" applyProtection="1">
      <alignment/>
      <protection/>
    </xf>
    <xf numFmtId="42" fontId="3" fillId="0" borderId="0" xfId="0" applyNumberFormat="1" applyFont="1" applyAlignment="1" applyProtection="1">
      <alignment horizontal="right"/>
      <protection locked="0"/>
    </xf>
    <xf numFmtId="166" fontId="3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 applyProtection="1">
      <alignment/>
      <protection/>
    </xf>
    <xf numFmtId="13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/>
    </xf>
    <xf numFmtId="170" fontId="2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 quotePrefix="1">
      <alignment/>
      <protection locked="0"/>
    </xf>
    <xf numFmtId="164" fontId="0" fillId="0" borderId="0" xfId="0" applyAlignment="1" applyProtection="1">
      <alignment/>
      <protection/>
    </xf>
    <xf numFmtId="164" fontId="5" fillId="0" borderId="0" xfId="0" applyFont="1" applyAlignment="1">
      <alignment horizontal="center"/>
    </xf>
    <xf numFmtId="164" fontId="5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87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21.625" style="0" customWidth="1"/>
    <col min="2" max="2" width="39.625" style="0" customWidth="1"/>
    <col min="3" max="3" width="4.625" style="0" customWidth="1"/>
    <col min="4" max="4" width="6.625" style="0" customWidth="1"/>
    <col min="5" max="5" width="29.625" style="0" customWidth="1"/>
    <col min="6" max="10" width="7.625" style="0" customWidth="1"/>
    <col min="11" max="16384" width="10.25390625" style="0" customWidth="1"/>
  </cols>
  <sheetData>
    <row r="1" spans="1:25" ht="12.75">
      <c r="A1" s="3" t="s">
        <v>34</v>
      </c>
      <c r="B1" s="36" t="s">
        <v>104</v>
      </c>
      <c r="C1" s="3"/>
      <c r="D1" s="3"/>
      <c r="F1" s="3"/>
      <c r="G1" s="5"/>
      <c r="H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17</v>
      </c>
    </row>
    <row r="2" spans="1:25" ht="12.75">
      <c r="A2" s="3" t="s">
        <v>35</v>
      </c>
      <c r="B2" s="4" t="s">
        <v>32</v>
      </c>
      <c r="C2" s="3"/>
      <c r="E2" s="3"/>
      <c r="F2" s="3"/>
      <c r="G2" s="5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19</v>
      </c>
    </row>
    <row r="3" spans="1:10" ht="12.75">
      <c r="A3" s="6" t="s">
        <v>102</v>
      </c>
      <c r="B3" s="35">
        <f>TODAY()</f>
        <v>37627</v>
      </c>
      <c r="C3" s="6"/>
      <c r="D3" s="6"/>
      <c r="E3" s="6"/>
      <c r="F3" s="6"/>
      <c r="G3" s="7"/>
      <c r="H3" s="7"/>
      <c r="I3" s="7"/>
      <c r="J3" s="7"/>
    </row>
    <row r="4" spans="1:25" ht="12.75">
      <c r="A4" s="6"/>
      <c r="B4" s="35"/>
      <c r="C4" s="6"/>
      <c r="D4" s="6"/>
      <c r="E4" s="6"/>
      <c r="F4" s="6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39" t="s">
        <v>36</v>
      </c>
      <c r="B5" s="39"/>
      <c r="C5" s="39"/>
      <c r="D5" s="3"/>
      <c r="E5" s="39" t="s">
        <v>39</v>
      </c>
      <c r="F5" s="39"/>
      <c r="G5" s="39"/>
      <c r="H5" s="39"/>
      <c r="I5" s="39"/>
      <c r="J5" s="3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4" t="s">
        <v>18</v>
      </c>
      <c r="B6" s="3"/>
      <c r="C6" s="3"/>
      <c r="D6" s="3"/>
      <c r="E6" s="3"/>
      <c r="F6" s="3"/>
      <c r="G6" s="5"/>
      <c r="H6" s="5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0" ht="12.75">
      <c r="A7" s="14" t="s">
        <v>18</v>
      </c>
      <c r="B7" s="14"/>
      <c r="C7" s="14"/>
      <c r="D7" s="3"/>
      <c r="E7" s="14" t="s">
        <v>18</v>
      </c>
      <c r="F7" s="14"/>
      <c r="G7" s="17"/>
      <c r="H7" s="14"/>
      <c r="I7" s="14"/>
      <c r="J7" s="14"/>
    </row>
    <row r="8" spans="1:25" ht="12.75">
      <c r="A8" s="15"/>
      <c r="B8" s="15"/>
      <c r="C8" s="15"/>
      <c r="D8" s="6"/>
      <c r="E8" s="6"/>
      <c r="F8" s="6"/>
      <c r="G8" s="7"/>
      <c r="H8" s="6"/>
      <c r="I8" s="6"/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10" ht="12.75">
      <c r="A9" s="39" t="s">
        <v>37</v>
      </c>
      <c r="B9" s="39"/>
      <c r="C9" s="39"/>
      <c r="D9" s="3"/>
      <c r="E9" s="39" t="s">
        <v>40</v>
      </c>
      <c r="F9" s="39"/>
      <c r="G9" s="39"/>
      <c r="H9" s="39"/>
      <c r="I9" s="39"/>
      <c r="J9" s="39"/>
    </row>
    <row r="10" spans="1:25" ht="12.75">
      <c r="A10" s="6"/>
      <c r="B10" s="6"/>
      <c r="C10" s="6"/>
      <c r="D10" s="6"/>
      <c r="E10" s="6"/>
      <c r="F10" s="6"/>
      <c r="G10" s="7"/>
      <c r="H10" s="6"/>
      <c r="I10" s="6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3" t="s">
        <v>57</v>
      </c>
      <c r="B11" s="3"/>
      <c r="C11" s="9">
        <v>1600</v>
      </c>
      <c r="D11" s="3"/>
      <c r="E11" s="3"/>
      <c r="F11" s="18" t="s">
        <v>20</v>
      </c>
      <c r="G11" s="18" t="s">
        <v>21</v>
      </c>
      <c r="H11" s="18" t="s">
        <v>22</v>
      </c>
      <c r="I11" s="18" t="s">
        <v>23</v>
      </c>
      <c r="J11" s="18" t="s">
        <v>24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3" t="s">
        <v>58</v>
      </c>
      <c r="B12" s="3"/>
      <c r="C12" s="9">
        <v>200</v>
      </c>
      <c r="D12" s="3"/>
      <c r="E12" s="3" t="s">
        <v>85</v>
      </c>
      <c r="F12" s="4">
        <v>25</v>
      </c>
      <c r="G12" s="4" t="s">
        <v>18</v>
      </c>
      <c r="H12" s="4">
        <v>0</v>
      </c>
      <c r="I12" s="4">
        <v>0</v>
      </c>
      <c r="J12" s="4"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3" t="s">
        <v>61</v>
      </c>
      <c r="B13" s="3"/>
      <c r="C13" s="9">
        <v>33</v>
      </c>
      <c r="D13" s="3"/>
      <c r="E13" s="3" t="s">
        <v>86</v>
      </c>
      <c r="F13" s="9">
        <v>70</v>
      </c>
      <c r="G13" s="9"/>
      <c r="H13" s="9">
        <v>70</v>
      </c>
      <c r="I13" s="9">
        <v>70</v>
      </c>
      <c r="J13" s="9">
        <v>70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3" t="s">
        <v>62</v>
      </c>
      <c r="B14" s="3"/>
      <c r="C14" s="9">
        <v>33</v>
      </c>
      <c r="D14" s="3"/>
      <c r="E14" s="3" t="s">
        <v>88</v>
      </c>
      <c r="F14" s="9">
        <v>230</v>
      </c>
      <c r="G14" s="9" t="s">
        <v>18</v>
      </c>
      <c r="H14" s="9">
        <v>0</v>
      </c>
      <c r="I14" s="9">
        <v>0</v>
      </c>
      <c r="J14" s="9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3" t="s">
        <v>63</v>
      </c>
      <c r="B15" s="3"/>
      <c r="C15" s="9">
        <v>33</v>
      </c>
      <c r="D15" s="3"/>
      <c r="E15" s="3" t="s">
        <v>89</v>
      </c>
      <c r="F15" s="9">
        <v>40</v>
      </c>
      <c r="G15" s="9" t="s">
        <v>18</v>
      </c>
      <c r="H15" s="9">
        <v>0</v>
      </c>
      <c r="I15" s="9">
        <v>0</v>
      </c>
      <c r="J15" s="9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3" t="s">
        <v>64</v>
      </c>
      <c r="B16" s="3"/>
      <c r="C16" s="9">
        <v>33</v>
      </c>
      <c r="D16" s="3"/>
      <c r="E16" s="3" t="s">
        <v>90</v>
      </c>
      <c r="F16" s="10">
        <v>3</v>
      </c>
      <c r="G16" s="10" t="s">
        <v>18</v>
      </c>
      <c r="H16" s="10">
        <v>0</v>
      </c>
      <c r="I16" s="10">
        <v>0</v>
      </c>
      <c r="J16" s="10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10" ht="12.75">
      <c r="A17" s="3" t="s">
        <v>65</v>
      </c>
      <c r="B17" s="3"/>
      <c r="C17" s="9">
        <v>33</v>
      </c>
      <c r="D17" s="3"/>
      <c r="E17" s="3" t="s">
        <v>87</v>
      </c>
      <c r="F17" s="10">
        <v>12</v>
      </c>
      <c r="G17" s="10" t="s">
        <v>18</v>
      </c>
      <c r="H17" s="10">
        <v>0</v>
      </c>
      <c r="I17" s="10">
        <v>0</v>
      </c>
      <c r="J17" s="10">
        <v>0</v>
      </c>
    </row>
    <row r="18" spans="1:10" ht="12.75">
      <c r="A18" s="25" t="s">
        <v>66</v>
      </c>
      <c r="B18" s="3"/>
      <c r="C18" s="9">
        <v>35</v>
      </c>
      <c r="D18" s="3"/>
      <c r="E18" s="14" t="s">
        <v>18</v>
      </c>
      <c r="F18" s="14"/>
      <c r="G18" s="17"/>
      <c r="H18" s="14"/>
      <c r="I18" s="14"/>
      <c r="J18" s="14"/>
    </row>
    <row r="19" spans="1:10" ht="12.75">
      <c r="A19" s="3" t="s">
        <v>52</v>
      </c>
      <c r="B19" s="3"/>
      <c r="C19" s="3"/>
      <c r="D19" s="3"/>
      <c r="E19" s="3" t="s">
        <v>18</v>
      </c>
      <c r="F19" s="3"/>
      <c r="G19" s="3"/>
      <c r="H19" s="3"/>
      <c r="I19" s="6"/>
      <c r="J19" s="6"/>
    </row>
    <row r="20" spans="1:10" ht="12.75">
      <c r="A20" s="3" t="s">
        <v>67</v>
      </c>
      <c r="B20" s="3"/>
      <c r="C20" s="9">
        <v>3</v>
      </c>
      <c r="D20" s="3"/>
      <c r="E20" s="39" t="s">
        <v>38</v>
      </c>
      <c r="F20" s="39"/>
      <c r="G20" s="39"/>
      <c r="H20" s="39"/>
      <c r="I20" s="39"/>
      <c r="J20" s="39"/>
    </row>
    <row r="21" spans="1:10" ht="12.75">
      <c r="A21" s="3" t="s">
        <v>68</v>
      </c>
      <c r="B21" s="3"/>
      <c r="C21" s="9">
        <v>50</v>
      </c>
      <c r="D21" s="3"/>
      <c r="E21" s="3"/>
      <c r="F21" s="3"/>
      <c r="G21" s="3"/>
      <c r="H21" s="3"/>
      <c r="I21" s="6"/>
      <c r="J21" s="6"/>
    </row>
    <row r="22" spans="1:10" ht="12.75">
      <c r="A22" s="3" t="s">
        <v>69</v>
      </c>
      <c r="B22" s="3"/>
      <c r="C22" s="4">
        <v>5</v>
      </c>
      <c r="D22" s="3"/>
      <c r="E22" s="3" t="s">
        <v>91</v>
      </c>
      <c r="F22" s="3">
        <f>IF(F12=0,0,8.8*F12*F13/(100*(F14+F16+F15*2.31)))</f>
        <v>0.4732636754763369</v>
      </c>
      <c r="G22" s="3">
        <f>IF(G12=0,0,8.8*G12*G13/(100*(G14+G16+G15*2.31)))</f>
        <v>0</v>
      </c>
      <c r="H22" s="3">
        <f>IF(H12=0,0,8.8*H12*H13/(100*(H14+H16+H15*2.31)))</f>
        <v>0</v>
      </c>
      <c r="I22" s="3">
        <f>IF(I12=0,0,8.8*I12*I13/(100*(I14+I16+I15*2.31)))</f>
        <v>0</v>
      </c>
      <c r="J22" s="3">
        <f>IF(J12=0,0,8.8*J12*J13/(100*(J14+J16+J15*2.31)))</f>
        <v>0</v>
      </c>
    </row>
    <row r="23" spans="1:10" ht="12.75">
      <c r="A23" s="3" t="s">
        <v>70</v>
      </c>
      <c r="B23" s="3"/>
      <c r="C23" s="9">
        <v>20</v>
      </c>
      <c r="D23" s="3"/>
      <c r="E23" s="3" t="s">
        <v>25</v>
      </c>
      <c r="F23" s="3"/>
      <c r="G23" s="3"/>
      <c r="H23" s="3"/>
      <c r="I23" s="6"/>
      <c r="J23" s="6"/>
    </row>
    <row r="24" spans="1:10" ht="12.75">
      <c r="A24" s="3" t="s">
        <v>71</v>
      </c>
      <c r="B24" s="3"/>
      <c r="C24" s="9">
        <v>2</v>
      </c>
      <c r="D24" s="3"/>
      <c r="E24" s="3" t="s">
        <v>92</v>
      </c>
      <c r="F24" s="11">
        <f>F22*365*F17*3600/43560</f>
        <v>171.31362798234346</v>
      </c>
      <c r="G24" s="11">
        <f>G22*365*G17*3600/43560</f>
        <v>0</v>
      </c>
      <c r="H24" s="11">
        <f>H22*365*H17*3600/43560</f>
        <v>0</v>
      </c>
      <c r="I24" s="11">
        <f>I22*365*I17*3600/43560</f>
        <v>0</v>
      </c>
      <c r="J24" s="11">
        <f>J22*365*J17*3600/43560</f>
        <v>0</v>
      </c>
    </row>
    <row r="25" spans="1:10" ht="12.75">
      <c r="A25" s="3" t="s">
        <v>72</v>
      </c>
      <c r="B25" s="3"/>
      <c r="C25" s="9">
        <v>80</v>
      </c>
      <c r="D25" s="6"/>
      <c r="E25" s="14" t="s">
        <v>18</v>
      </c>
      <c r="F25" s="14"/>
      <c r="G25" s="14"/>
      <c r="H25" s="14"/>
      <c r="I25" s="16"/>
      <c r="J25" s="16"/>
    </row>
    <row r="26" spans="1:10" ht="12.75">
      <c r="A26" s="3" t="s">
        <v>73</v>
      </c>
      <c r="B26" s="3"/>
      <c r="C26" s="19" t="s">
        <v>43</v>
      </c>
      <c r="D26" s="3"/>
      <c r="E26" s="6"/>
      <c r="F26" s="6"/>
      <c r="G26" s="6"/>
      <c r="H26" s="6"/>
      <c r="I26" s="6"/>
      <c r="J26" s="6"/>
    </row>
    <row r="27" spans="1:10" ht="12.75">
      <c r="A27" s="6" t="s">
        <v>74</v>
      </c>
      <c r="B27" s="3"/>
      <c r="C27" s="10" t="s">
        <v>18</v>
      </c>
      <c r="D27" s="3"/>
      <c r="E27" s="3" t="s">
        <v>56</v>
      </c>
      <c r="F27" s="3"/>
      <c r="G27" s="3"/>
      <c r="H27" s="3"/>
      <c r="I27" s="6"/>
      <c r="J27" s="6"/>
    </row>
    <row r="28" spans="1:10" ht="12.75">
      <c r="A28" t="s">
        <v>75</v>
      </c>
      <c r="B28" s="3"/>
      <c r="C28" s="10" t="s">
        <v>18</v>
      </c>
      <c r="D28" s="3"/>
      <c r="E28" s="3" t="s">
        <v>45</v>
      </c>
      <c r="F28" s="3"/>
      <c r="G28" s="3"/>
      <c r="H28" s="3"/>
      <c r="I28" s="6"/>
      <c r="J28" s="6"/>
    </row>
    <row r="29" spans="1:10" ht="12.75">
      <c r="A29" s="3" t="s">
        <v>76</v>
      </c>
      <c r="B29" s="3"/>
      <c r="C29" s="10">
        <v>12</v>
      </c>
      <c r="D29" s="3"/>
      <c r="E29" s="3" t="s">
        <v>46</v>
      </c>
      <c r="F29" s="3"/>
      <c r="G29" s="3"/>
      <c r="H29" s="3"/>
      <c r="I29" s="6"/>
      <c r="J29" s="6"/>
    </row>
    <row r="30" spans="1:10" ht="12.75">
      <c r="A30" s="3" t="s">
        <v>77</v>
      </c>
      <c r="B30" s="3"/>
      <c r="C30" s="19" t="s">
        <v>51</v>
      </c>
      <c r="D30" s="3" t="s">
        <v>18</v>
      </c>
      <c r="E30" s="14" t="s">
        <v>18</v>
      </c>
      <c r="F30" s="14"/>
      <c r="G30" s="14"/>
      <c r="H30" s="14"/>
      <c r="I30" s="16"/>
      <c r="J30" s="16"/>
    </row>
    <row r="31" spans="1:10" ht="12.75">
      <c r="A31" s="3" t="s">
        <v>54</v>
      </c>
      <c r="B31" s="3"/>
      <c r="C31" s="37" t="s">
        <v>18</v>
      </c>
      <c r="D31" s="6"/>
      <c r="E31" s="3"/>
      <c r="F31" s="3"/>
      <c r="G31" s="3"/>
      <c r="H31" s="3"/>
      <c r="I31" s="6"/>
      <c r="J31" s="6"/>
    </row>
    <row r="32" spans="1:10" ht="12.75">
      <c r="A32" s="3" t="s">
        <v>78</v>
      </c>
      <c r="B32" s="3"/>
      <c r="C32" s="19" t="s">
        <v>43</v>
      </c>
      <c r="D32" s="3"/>
      <c r="E32" s="3"/>
      <c r="F32" s="3"/>
      <c r="G32" s="3"/>
      <c r="H32" s="3"/>
      <c r="I32" s="6"/>
      <c r="J32" s="6"/>
    </row>
    <row r="33" spans="1:10" ht="12.75">
      <c r="A33" s="3" t="s">
        <v>79</v>
      </c>
      <c r="B33" s="3"/>
      <c r="C33" s="19" t="s">
        <v>51</v>
      </c>
      <c r="D33" s="6"/>
      <c r="E33" s="3"/>
      <c r="F33" s="3"/>
      <c r="G33" s="3"/>
      <c r="H33" s="3"/>
      <c r="I33" s="6"/>
      <c r="J33" s="6"/>
    </row>
    <row r="34" spans="1:10" ht="12.75">
      <c r="A34" s="3" t="s">
        <v>53</v>
      </c>
      <c r="B34" s="3"/>
      <c r="C34" s="34" t="s">
        <v>18</v>
      </c>
      <c r="D34" s="6"/>
      <c r="E34" s="3"/>
      <c r="F34" s="3"/>
      <c r="G34" s="3"/>
      <c r="H34" s="3"/>
      <c r="I34" s="6"/>
      <c r="J34" s="6"/>
    </row>
    <row r="35" spans="1:10" ht="12.75">
      <c r="A35" s="3" t="s">
        <v>80</v>
      </c>
      <c r="B35" s="3"/>
      <c r="C35" s="20">
        <v>400</v>
      </c>
      <c r="D35" s="6"/>
      <c r="E35" s="3"/>
      <c r="F35" s="3"/>
      <c r="G35" s="3"/>
      <c r="H35" s="3"/>
      <c r="I35" s="6"/>
      <c r="J35" s="6"/>
    </row>
    <row r="36" spans="1:10" ht="12.75">
      <c r="A36" s="3" t="s">
        <v>81</v>
      </c>
      <c r="B36" s="3"/>
      <c r="C36" s="21">
        <v>5</v>
      </c>
      <c r="D36" s="6"/>
      <c r="E36" s="3"/>
      <c r="F36" s="3"/>
      <c r="G36" s="3"/>
      <c r="H36" s="3"/>
      <c r="I36" s="6"/>
      <c r="J36" s="6"/>
    </row>
    <row r="37" spans="1:10" ht="12.75">
      <c r="A37" s="3" t="s">
        <v>82</v>
      </c>
      <c r="B37" s="3"/>
      <c r="C37" s="33">
        <f>2/5</f>
        <v>0.4</v>
      </c>
      <c r="D37" s="6"/>
      <c r="E37" s="3"/>
      <c r="F37" s="3"/>
      <c r="G37" s="3"/>
      <c r="H37" s="3"/>
      <c r="I37" s="6"/>
      <c r="J37" s="6"/>
    </row>
    <row r="38" spans="1:10" ht="12.75">
      <c r="A38" s="3" t="s">
        <v>83</v>
      </c>
      <c r="B38" s="3"/>
      <c r="C38" s="20">
        <v>10</v>
      </c>
      <c r="D38" s="6"/>
      <c r="E38" s="3"/>
      <c r="F38" s="3"/>
      <c r="G38" s="3"/>
      <c r="H38" s="3"/>
      <c r="I38" s="6"/>
      <c r="J38" s="6"/>
    </row>
    <row r="39" spans="1:10" ht="12.75">
      <c r="A39" s="3" t="s">
        <v>84</v>
      </c>
      <c r="B39" s="3"/>
      <c r="C39" s="20">
        <v>45</v>
      </c>
      <c r="D39" s="6"/>
      <c r="E39" s="3"/>
      <c r="F39" s="3"/>
      <c r="G39" s="3"/>
      <c r="H39" s="3"/>
      <c r="I39" s="6"/>
      <c r="J39" s="6"/>
    </row>
    <row r="40" spans="1:10" ht="12.75">
      <c r="A40" s="3" t="s">
        <v>55</v>
      </c>
      <c r="B40" s="3"/>
      <c r="D40" s="6"/>
      <c r="E40" s="3"/>
      <c r="F40" s="3"/>
      <c r="G40" s="3"/>
      <c r="H40" s="3"/>
      <c r="I40" s="6"/>
      <c r="J40" s="6"/>
    </row>
    <row r="41" spans="1:10" ht="12.75">
      <c r="A41" s="3" t="s">
        <v>93</v>
      </c>
      <c r="B41" s="3"/>
      <c r="C41" s="20">
        <v>0</v>
      </c>
      <c r="D41" s="6"/>
      <c r="E41" s="3"/>
      <c r="F41" s="3"/>
      <c r="G41" s="3"/>
      <c r="H41" s="3"/>
      <c r="I41" s="6"/>
      <c r="J41" s="6"/>
    </row>
    <row r="42" spans="1:10" ht="12.75">
      <c r="A42" s="14" t="s">
        <v>18</v>
      </c>
      <c r="B42" s="14"/>
      <c r="C42" s="14"/>
      <c r="D42" s="6"/>
      <c r="E42" s="3"/>
      <c r="F42" s="3"/>
      <c r="G42" s="3"/>
      <c r="H42" s="3"/>
      <c r="I42" s="6"/>
      <c r="J42" s="6"/>
    </row>
    <row r="43" spans="1:10" ht="12.75">
      <c r="A43" s="3"/>
      <c r="B43" s="3"/>
      <c r="C43" s="3"/>
      <c r="D43" s="6"/>
      <c r="E43" s="3"/>
      <c r="F43" s="3"/>
      <c r="G43" s="3"/>
      <c r="H43" s="3"/>
      <c r="I43" s="6"/>
      <c r="J43" s="6"/>
    </row>
    <row r="44" spans="1:10" ht="12.75">
      <c r="A44" s="39" t="s">
        <v>38</v>
      </c>
      <c r="B44" s="39"/>
      <c r="C44" s="39"/>
      <c r="D44" s="6"/>
      <c r="E44" s="3"/>
      <c r="F44" s="3"/>
      <c r="G44" s="3"/>
      <c r="H44" s="3"/>
      <c r="I44" s="6"/>
      <c r="J44" s="6"/>
    </row>
    <row r="45" spans="1:10" ht="12.75">
      <c r="A45" s="3"/>
      <c r="B45" s="3"/>
      <c r="C45" s="3"/>
      <c r="D45" s="6"/>
      <c r="E45" s="3"/>
      <c r="F45" s="3"/>
      <c r="G45" s="3"/>
      <c r="H45" s="3"/>
      <c r="I45" s="6"/>
      <c r="J45" s="6"/>
    </row>
    <row r="46" spans="1:10" ht="12.75">
      <c r="A46" s="8" t="s">
        <v>44</v>
      </c>
      <c r="B46" s="3"/>
      <c r="C46" s="3"/>
      <c r="D46" s="6"/>
      <c r="E46" s="3"/>
      <c r="F46" s="3"/>
      <c r="G46" s="3"/>
      <c r="H46" s="3"/>
      <c r="I46" s="6"/>
      <c r="J46" s="6"/>
    </row>
    <row r="47" spans="1:10" ht="12.75">
      <c r="A47" s="8"/>
      <c r="B47" s="3"/>
      <c r="C47" s="3"/>
      <c r="D47" s="6"/>
      <c r="E47" s="3"/>
      <c r="F47" s="3"/>
      <c r="G47" s="3"/>
      <c r="H47" s="3"/>
      <c r="I47" s="6"/>
      <c r="J47" s="6"/>
    </row>
    <row r="48" spans="1:14" ht="12.75">
      <c r="A48" s="6" t="s">
        <v>27</v>
      </c>
      <c r="B48" s="6"/>
      <c r="C48" s="6"/>
      <c r="D48" s="6"/>
      <c r="E48" s="3"/>
      <c r="F48" s="3"/>
      <c r="G48" s="3"/>
      <c r="H48" s="3"/>
      <c r="I48" s="6"/>
      <c r="J48" s="6"/>
      <c r="N48" s="3">
        <f>IF(C26="N",IF(C25&lt;=20,(C11*17.9/(C29*3600*7.48)),IF(C25&lt;60,(C11*(24.7-(6.8*(60-C25)/40))/(C29*3600*7.48)),IF(C25&lt;80,(C11*(38.7-(14*(80-C25)/20))/(C29*3600*7.48)),IF(C25&lt;100,(C11*(45.7-(7*(100-C25)/20))/(C29*3600*7.48)),IF(C25&gt;=100,45.7))))))</f>
        <v>0.1916221033868093</v>
      </c>
    </row>
    <row r="49" spans="1:14" ht="12.75">
      <c r="A49" s="3" t="s">
        <v>94</v>
      </c>
      <c r="B49" s="3"/>
      <c r="C49" s="3" t="str">
        <f>IF(C26="Y",IF(C25&lt;=20,(C11*17.9/(C27*3600*7.48)),IF(C25&lt;60,(C11*(24.7-(6.8*(60-C25)/40))/(C27*3600*7.48)),IF(C25&lt;80,(C11*(38.7-(14*(80-C25)/20))/(C27*3600*7.48)),IF(C25&lt;100,(C11*(45.7-(7*(100-C25)/20))/(C27*3600*7.48)),IF(C25&gt;=100,45.7))))),IF(C26="N","    ****"))</f>
        <v>    ****</v>
      </c>
      <c r="D49" s="6"/>
      <c r="E49" s="3"/>
      <c r="F49" s="3"/>
      <c r="G49" s="3"/>
      <c r="H49" s="3"/>
      <c r="I49" s="6"/>
      <c r="J49" s="6"/>
      <c r="N49" s="3">
        <f>IF(C26="N",C12*17/(C29*3600*7.48))</f>
        <v>0.010521885521885523</v>
      </c>
    </row>
    <row r="50" spans="1:14" ht="12.75">
      <c r="A50" s="3" t="s">
        <v>95</v>
      </c>
      <c r="B50" s="3"/>
      <c r="C50" s="3" t="str">
        <f>IF(C26="Y",C12*17/(C27*3600*7.48),IF(C26="N","    ****"))</f>
        <v>    ****</v>
      </c>
      <c r="D50" s="6"/>
      <c r="E50" s="3"/>
      <c r="F50" s="3"/>
      <c r="G50" s="3"/>
      <c r="H50" s="3"/>
      <c r="I50" s="6"/>
      <c r="J50" s="6"/>
      <c r="N50" s="3">
        <f>IF(C26="N",(C13*3.3+C14*4+C15*6.1+C16*8.4+C17*10.6+C18*13)/(C29*3600*7.48))</f>
        <v>0.004716899386017033</v>
      </c>
    </row>
    <row r="51" spans="1:10" ht="12.75">
      <c r="A51" s="3" t="s">
        <v>103</v>
      </c>
      <c r="B51" s="3"/>
      <c r="C51" s="3" t="str">
        <f>IF(C26="Y",(C13*3.3+C14*4+C15*6.1+C16*8.4+C17*10.6+C18*13)/(C27*3600*7.48),IF(C26="N","    ****"))</f>
        <v>    ****</v>
      </c>
      <c r="D51" s="6"/>
      <c r="E51" s="6"/>
      <c r="F51" s="6"/>
      <c r="G51" s="6"/>
      <c r="H51" s="6"/>
      <c r="I51" s="6"/>
      <c r="J51" s="6"/>
    </row>
    <row r="52" spans="1:10" ht="12.75">
      <c r="A52" s="8" t="s">
        <v>97</v>
      </c>
      <c r="B52" s="8"/>
      <c r="C52" s="32">
        <f>IF(C26="Y",ROUND(C49+C50+C51,2),IF(C26="N",ROUND(N48+N49+N50+(C75*43560/(365*C29*3600)),2)))</f>
        <v>0.28</v>
      </c>
      <c r="D52" s="6"/>
      <c r="E52" s="39" t="s">
        <v>47</v>
      </c>
      <c r="F52" s="39"/>
      <c r="G52" s="39"/>
      <c r="H52" s="39"/>
      <c r="I52" s="39"/>
      <c r="J52" s="39"/>
    </row>
    <row r="53" spans="1:10" ht="12.75">
      <c r="A53" s="3"/>
      <c r="B53" s="3"/>
      <c r="C53" s="3"/>
      <c r="D53" s="6" t="s">
        <v>18</v>
      </c>
      <c r="E53" s="8"/>
      <c r="F53" s="3"/>
      <c r="G53" s="3"/>
      <c r="H53" s="3"/>
      <c r="I53" s="6"/>
      <c r="J53" s="6"/>
    </row>
    <row r="54" spans="1:10" ht="12.75">
      <c r="A54" s="3" t="s">
        <v>28</v>
      </c>
      <c r="B54" s="3"/>
      <c r="C54" s="3"/>
      <c r="D54" s="6"/>
      <c r="E54" s="22"/>
      <c r="F54" s="16"/>
      <c r="G54" s="16"/>
      <c r="H54" s="16"/>
      <c r="I54" s="16"/>
      <c r="J54" s="16"/>
    </row>
    <row r="55" spans="1:10" ht="12.75">
      <c r="A55" s="8" t="s">
        <v>97</v>
      </c>
      <c r="B55" s="26"/>
      <c r="C55" s="31">
        <f>IF(C26="Y",ROUND(C75*43560/(365*C28*3600),2),IF(C26="N",ROUND(N48+N49+N50+(C75*43560/(365*C29*3600)),2)))</f>
        <v>0.28</v>
      </c>
      <c r="D55" s="6" t="s">
        <v>18</v>
      </c>
      <c r="E55" s="23"/>
      <c r="F55" s="15"/>
      <c r="G55" s="15"/>
      <c r="H55" s="15"/>
      <c r="I55" s="15"/>
      <c r="J55" s="15"/>
    </row>
    <row r="56" spans="1:10" ht="12.75">
      <c r="A56" s="3"/>
      <c r="B56" s="6"/>
      <c r="C56" s="6"/>
      <c r="D56" s="6"/>
      <c r="E56" s="38" t="s">
        <v>42</v>
      </c>
      <c r="F56" s="38"/>
      <c r="G56" s="38"/>
      <c r="H56" s="38"/>
      <c r="I56" s="38"/>
      <c r="J56" s="38"/>
    </row>
    <row r="57" spans="1:10" ht="12.75">
      <c r="A57" s="8" t="s">
        <v>98</v>
      </c>
      <c r="B57" s="6"/>
      <c r="C57" s="31">
        <f>IF(C26="Y",C52+C55,IF(C26="N",ROUND(N48+N49+N50+(C75*43560/(365*C29*3600)),2)))</f>
        <v>0.28</v>
      </c>
      <c r="D57" s="6"/>
      <c r="E57" s="6"/>
      <c r="F57" s="6"/>
      <c r="G57" s="6"/>
      <c r="H57" s="6"/>
      <c r="I57" s="6"/>
      <c r="J57" s="6"/>
    </row>
    <row r="58" spans="1:10" ht="12.75">
      <c r="A58" s="3"/>
      <c r="B58" s="6"/>
      <c r="C58" s="6"/>
      <c r="D58" s="6"/>
      <c r="E58" s="6" t="s">
        <v>8</v>
      </c>
      <c r="H58" s="6"/>
      <c r="I58" s="13">
        <v>4.8</v>
      </c>
      <c r="J58" s="6" t="s">
        <v>31</v>
      </c>
    </row>
    <row r="59" spans="1:10" ht="12.75">
      <c r="A59" s="8" t="s">
        <v>26</v>
      </c>
      <c r="B59" s="3"/>
      <c r="C59" s="3"/>
      <c r="D59" s="6"/>
      <c r="E59" s="6" t="s">
        <v>9</v>
      </c>
      <c r="H59" s="6"/>
      <c r="I59" s="10">
        <v>240</v>
      </c>
      <c r="J59" s="6" t="s">
        <v>29</v>
      </c>
    </row>
    <row r="60" spans="1:10" ht="12.75">
      <c r="A60" s="6"/>
      <c r="B60" s="6"/>
      <c r="C60" s="6"/>
      <c r="D60" s="2"/>
      <c r="E60" s="6" t="s">
        <v>10</v>
      </c>
      <c r="H60" s="6"/>
      <c r="I60" s="10">
        <v>4</v>
      </c>
      <c r="J60" s="6" t="s">
        <v>41</v>
      </c>
    </row>
    <row r="61" spans="1:10" ht="12.75">
      <c r="A61" s="3" t="s">
        <v>27</v>
      </c>
      <c r="B61" s="3"/>
      <c r="C61" s="3"/>
      <c r="D61" s="2"/>
      <c r="E61" s="6" t="s">
        <v>11</v>
      </c>
      <c r="H61" s="6"/>
      <c r="I61" s="10">
        <v>3</v>
      </c>
      <c r="J61" s="6" t="s">
        <v>41</v>
      </c>
    </row>
    <row r="62" spans="1:10" ht="12.75">
      <c r="A62" s="3" t="s">
        <v>59</v>
      </c>
      <c r="B62" s="3"/>
      <c r="C62" s="11">
        <f>IF(C25&lt;=20,(12*90+14.5*153+17.9*122)*C11/325850,IF(C25&lt;60,(((22-(10*(60-C25)/40))*90+(26.1-(11.6*(60-C25)/40))*153+(24.7-(6.8*(60-C25)/40))*122)*C11/325850),IF(C25&lt;80,(((27-(5*(80-C25)/20))*90+(31.9-(5.8*(80-C25)/20))*153+(38.7-(14*(80-C25)/20))*122)*C11/325850),IF(C25&lt;100,(((32-(5*(100-C25)/20))*90+(37.7-(5.8*(100-C25)/20))*153+(45.7-(7*(100-C25)/20))*122)*C11/325850),IF(C25&gt;=100,(32*90+37.7*153+45.7*122)*C11/325850)))))</f>
        <v>59.0804357833359</v>
      </c>
      <c r="D62" s="2"/>
      <c r="E62" s="6" t="s">
        <v>49</v>
      </c>
      <c r="H62" s="6"/>
      <c r="I62" s="29"/>
      <c r="J62" s="6"/>
    </row>
    <row r="63" spans="1:10" ht="12.75">
      <c r="A63" s="3" t="s">
        <v>60</v>
      </c>
      <c r="B63" s="3"/>
      <c r="C63" s="11">
        <f>(10.2*90+12.6*153+17*122)*C12/325850</f>
        <v>3.0196716280497156</v>
      </c>
      <c r="E63" s="6" t="s">
        <v>50</v>
      </c>
      <c r="H63" s="6"/>
      <c r="J63" s="6"/>
    </row>
    <row r="64" spans="1:10" ht="12.75">
      <c r="A64" s="3" t="s">
        <v>96</v>
      </c>
      <c r="B64" s="3"/>
      <c r="C64" s="11">
        <f>(((C13*2+C14*2.4+C15*3.7+C16*5+C17*6.3+C18*7.8)*90)+((C13*2.5+C14*3+C15*4.6+C16*6.3+C17*7.9+C18*9.7)*153)+((C13*3.3+C14*4+C15*6.1+C16*8.4+C17*10.6+C18*13)*122))/325850</f>
        <v>1.358829522786558</v>
      </c>
      <c r="D64" t="s">
        <v>18</v>
      </c>
      <c r="E64" s="6" t="s">
        <v>12</v>
      </c>
      <c r="H64" s="6"/>
      <c r="I64" s="28" t="s">
        <v>48</v>
      </c>
      <c r="J64" s="6"/>
    </row>
    <row r="65" spans="1:10" ht="12.75">
      <c r="A65" s="8" t="s">
        <v>97</v>
      </c>
      <c r="B65" s="8"/>
      <c r="C65" s="27">
        <f>ROUND(C62+C63+C64,1)</f>
        <v>63.5</v>
      </c>
      <c r="D65" t="s">
        <v>18</v>
      </c>
      <c r="E65" s="16"/>
      <c r="F65" s="16"/>
      <c r="G65" s="16"/>
      <c r="H65" s="16"/>
      <c r="I65" s="16"/>
      <c r="J65" s="16"/>
    </row>
    <row r="66" spans="1:10" ht="12.75">
      <c r="A66" s="6"/>
      <c r="B66" s="6"/>
      <c r="C66" s="6"/>
      <c r="E66" s="6"/>
      <c r="F66" s="6"/>
      <c r="G66" s="6"/>
      <c r="H66" s="6"/>
      <c r="I66" s="6"/>
      <c r="J66" s="6"/>
    </row>
    <row r="67" spans="1:10" ht="12.75">
      <c r="A67" s="3" t="s">
        <v>28</v>
      </c>
      <c r="B67" s="11"/>
      <c r="C67" s="3"/>
      <c r="E67" s="38" t="s">
        <v>38</v>
      </c>
      <c r="F67" s="38"/>
      <c r="G67" s="38"/>
      <c r="H67" s="38"/>
      <c r="I67" s="38"/>
      <c r="J67" s="38"/>
    </row>
    <row r="68" spans="1:10" ht="12.75">
      <c r="A68" s="3" t="s">
        <v>99</v>
      </c>
      <c r="B68" s="11"/>
      <c r="C68" s="11">
        <f>IF(C11=0,0,(116+(140*C24))*365/325850)</f>
        <v>0.4435783335890747</v>
      </c>
      <c r="E68" s="24"/>
      <c r="F68" s="24"/>
      <c r="G68" s="24"/>
      <c r="H68" s="24"/>
      <c r="I68" s="24"/>
      <c r="J68" s="24"/>
    </row>
    <row r="69" spans="1:10" ht="12.75">
      <c r="A69" s="3" t="s">
        <v>100</v>
      </c>
      <c r="B69" s="11"/>
      <c r="C69" s="11">
        <f>0.5*C11*C24*365/325850</f>
        <v>1.7922356912689887</v>
      </c>
      <c r="E69" s="6" t="s">
        <v>13</v>
      </c>
      <c r="I69" s="30">
        <f>I58/I59</f>
        <v>0.02</v>
      </c>
      <c r="J69" s="6" t="s">
        <v>30</v>
      </c>
    </row>
    <row r="70" spans="1:10" ht="12.75">
      <c r="A70" s="25" t="s">
        <v>101</v>
      </c>
      <c r="B70" s="3"/>
      <c r="C70" s="11">
        <f>IF(C11=0,0,900*C24*365/325850)</f>
        <v>2.0162651526776125</v>
      </c>
      <c r="E70" s="6" t="s">
        <v>14</v>
      </c>
      <c r="I70" s="12">
        <f>IF(I64="S",C52/I69,IF(I64="C",C55/I69,IF(I64="B",C57/I69)))</f>
        <v>14.000000000000002</v>
      </c>
      <c r="J70" s="6" t="s">
        <v>29</v>
      </c>
    </row>
    <row r="71" spans="1:10" ht="12.75">
      <c r="A71" s="3" t="s">
        <v>0</v>
      </c>
      <c r="B71" s="3"/>
      <c r="C71" s="11">
        <f>IF(C11=0,(0),IF(C20=1,(0.5*C24*C11*365/325850),IF(C20=2,(4*C24*C11*365/325850),IF(C20=3,(C21*C22*C23*365/325850),0))))</f>
        <v>5.60073653521559</v>
      </c>
      <c r="E71" s="6" t="s">
        <v>15</v>
      </c>
      <c r="I71" s="12">
        <f>IF(I64="S",C65/I60,IF(I64="C",C75/I60,IF(I64="B",C77/I60)))</f>
        <v>22.2</v>
      </c>
      <c r="J71" s="6" t="s">
        <v>29</v>
      </c>
    </row>
    <row r="72" spans="1:10" ht="12.75">
      <c r="A72" s="3" t="s">
        <v>1</v>
      </c>
      <c r="B72" s="3"/>
      <c r="C72" s="11">
        <f>IF(C30="N",0,IF(C32="Y",0,IF(C32="",0,8*C11*365/325850)))</f>
        <v>14.33788553015191</v>
      </c>
      <c r="E72" s="6" t="s">
        <v>16</v>
      </c>
      <c r="I72" s="12">
        <f>IF(I64="S",C81/I61,IF(I64="C",C82/I61,IF(I64="B",C84/I61)))</f>
        <v>29.599999999999998</v>
      </c>
      <c r="J72" s="6" t="s">
        <v>29</v>
      </c>
    </row>
    <row r="73" spans="1:10" ht="12.75">
      <c r="A73" s="3" t="s">
        <v>2</v>
      </c>
      <c r="B73" s="3"/>
      <c r="C73" s="11">
        <f>IF(C33="N",0,IF(C35=0,0,IF(C35="",0,C35*C36*C37*C38*C39/325850)))</f>
        <v>1.1048028233849931</v>
      </c>
      <c r="E73" s="16" t="s">
        <v>18</v>
      </c>
      <c r="F73" s="16"/>
      <c r="G73" s="16"/>
      <c r="H73" s="16"/>
      <c r="I73" s="16"/>
      <c r="J73" s="16"/>
    </row>
    <row r="74" spans="1:10" ht="12.75">
      <c r="A74" s="3" t="s">
        <v>3</v>
      </c>
      <c r="B74" s="3"/>
      <c r="C74" s="11">
        <f>C41*365/325850</f>
        <v>0</v>
      </c>
      <c r="E74" s="6"/>
      <c r="F74" s="6"/>
      <c r="G74" s="6"/>
      <c r="H74" s="6"/>
      <c r="I74" s="6"/>
      <c r="J74" s="6"/>
    </row>
    <row r="75" spans="1:10" ht="12.75">
      <c r="A75" s="8" t="s">
        <v>97</v>
      </c>
      <c r="B75" s="8"/>
      <c r="C75" s="27">
        <f>ROUND(C68+C69+C70+C71+C72+C73+C74,1)</f>
        <v>25.3</v>
      </c>
      <c r="E75" s="6" t="s">
        <v>18</v>
      </c>
      <c r="F75" s="6"/>
      <c r="G75" s="6"/>
      <c r="H75" s="6"/>
      <c r="I75" s="6"/>
      <c r="J75" s="6"/>
    </row>
    <row r="76" spans="1:10" ht="12.75">
      <c r="A76" s="6"/>
      <c r="B76" s="6"/>
      <c r="C76" s="6"/>
      <c r="E76" s="6"/>
      <c r="F76" s="6"/>
      <c r="G76" s="6"/>
      <c r="H76" s="6"/>
      <c r="I76" s="6"/>
      <c r="J76" s="6"/>
    </row>
    <row r="77" spans="1:3" ht="12.75">
      <c r="A77" s="8" t="s">
        <v>6</v>
      </c>
      <c r="B77" s="8"/>
      <c r="C77" s="27">
        <f>C65+C75</f>
        <v>88.8</v>
      </c>
    </row>
    <row r="78" spans="1:10" ht="12.75">
      <c r="A78" s="6"/>
      <c r="B78" s="6"/>
      <c r="C78" s="6"/>
      <c r="E78" s="6"/>
      <c r="F78" s="6"/>
      <c r="G78" s="6"/>
      <c r="H78" s="6"/>
      <c r="I78" s="6"/>
      <c r="J78" s="6"/>
    </row>
    <row r="79" spans="1:10" ht="12.75">
      <c r="A79" s="8" t="s">
        <v>33</v>
      </c>
      <c r="B79" s="3"/>
      <c r="C79" s="3"/>
      <c r="E79" s="6"/>
      <c r="F79" s="12"/>
      <c r="G79" s="6"/>
      <c r="H79" s="6"/>
      <c r="I79" s="6"/>
      <c r="J79" s="6"/>
    </row>
    <row r="80" spans="1:10" ht="12.75">
      <c r="A80" s="6"/>
      <c r="B80" s="6"/>
      <c r="C80" s="6"/>
      <c r="E80" s="6"/>
      <c r="F80" s="6"/>
      <c r="G80" s="6"/>
      <c r="H80" s="6"/>
      <c r="I80" s="6"/>
      <c r="J80" s="6"/>
    </row>
    <row r="81" spans="1:10" ht="12.75">
      <c r="A81" s="8" t="s">
        <v>4</v>
      </c>
      <c r="B81" s="8"/>
      <c r="C81" s="27">
        <f>C65</f>
        <v>63.5</v>
      </c>
      <c r="E81" s="6"/>
      <c r="F81" s="12"/>
      <c r="G81" s="6"/>
      <c r="H81" s="6"/>
      <c r="I81" s="6"/>
      <c r="J81" s="6"/>
    </row>
    <row r="82" spans="1:6" ht="12.75">
      <c r="A82" s="8" t="s">
        <v>5</v>
      </c>
      <c r="B82" s="8"/>
      <c r="C82" s="27">
        <f>C75</f>
        <v>25.3</v>
      </c>
      <c r="E82" s="2"/>
      <c r="F82" s="2"/>
    </row>
    <row r="83" spans="1:6" ht="12.75">
      <c r="A83" s="6"/>
      <c r="B83" s="3"/>
      <c r="C83" s="6"/>
      <c r="E83" s="2"/>
      <c r="F83" s="2"/>
    </row>
    <row r="84" spans="1:6" ht="12.75">
      <c r="A84" s="8" t="s">
        <v>7</v>
      </c>
      <c r="B84" s="8"/>
      <c r="C84" s="27">
        <f>C81+C82</f>
        <v>88.8</v>
      </c>
      <c r="E84" s="2"/>
      <c r="F84" s="2"/>
    </row>
    <row r="85" spans="1:3" ht="12.75">
      <c r="A85" s="14" t="s">
        <v>18</v>
      </c>
      <c r="B85" s="14"/>
      <c r="C85" s="14"/>
    </row>
    <row r="87" spans="1:3" ht="12">
      <c r="A87" s="1" t="s">
        <v>18</v>
      </c>
      <c r="B87" s="1"/>
      <c r="C87" s="1"/>
    </row>
  </sheetData>
  <sheetProtection sheet="1" objects="1" scenarios="1"/>
  <mergeCells count="9">
    <mergeCell ref="E67:J67"/>
    <mergeCell ref="E52:J52"/>
    <mergeCell ref="A5:C5"/>
    <mergeCell ref="A9:C9"/>
    <mergeCell ref="A44:C44"/>
    <mergeCell ref="E5:J5"/>
    <mergeCell ref="E9:J9"/>
    <mergeCell ref="E20:J20"/>
    <mergeCell ref="E56:J56"/>
  </mergeCells>
  <printOptions/>
  <pageMargins left="0.75" right="0.75" top="1" bottom="1" header="0.5" footer="0.5"/>
  <pageSetup fitToHeight="1" fitToWidth="1" horizontalDpi="360" verticalDpi="36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74" sqref="K74"/>
    </sheetView>
  </sheetViews>
  <sheetFormatPr defaultColWidth="9.00390625" defaultRowHeight="12.75"/>
  <cols>
    <col min="8" max="8" width="19.875" style="0" customWidth="1"/>
  </cols>
  <sheetData/>
  <printOptions/>
  <pageMargins left="0.75" right="0.75" top="1" bottom="1" header="0.5" footer="0.5"/>
  <pageSetup orientation="portrait" r:id="rId3"/>
  <legacyDrawing r:id="rId2"/>
  <oleObjects>
    <oleObject progId="Word.Document.8" shapeId="3179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dgibson</cp:lastModifiedBy>
  <cp:lastPrinted>2000-07-21T06:01:15Z</cp:lastPrinted>
  <dcterms:created xsi:type="dcterms:W3CDTF">1999-04-28T05:59:54Z</dcterms:created>
  <dcterms:modified xsi:type="dcterms:W3CDTF">2003-01-06T17:55:01Z</dcterms:modified>
  <cp:category/>
  <cp:version/>
  <cp:contentType/>
  <cp:contentStatus/>
</cp:coreProperties>
</file>